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NEO2\Marketing\d-drive\Products\Resolv4K\"/>
    </mc:Choice>
  </mc:AlternateContent>
  <bookViews>
    <workbookView xWindow="0" yWindow="0" windowWidth="28800" windowHeight="14010"/>
  </bookViews>
  <sheets>
    <sheet name="Resolv4K Selection Tool" sheetId="4" r:id="rId1"/>
    <sheet name="Sheet2" sheetId="2" state="hidden" r:id="rId2"/>
    <sheet name="_SSC" sheetId="5" state="veryHidden" r:id="rId3"/>
    <sheet name="_Options" sheetId="6" state="veryHidden" r:id="rId4"/>
  </sheets>
  <definedNames>
    <definedName name="_Ctrl_1" hidden="1">'Resolv4K Selection Tool'!$Q$14</definedName>
    <definedName name="_options1">_Options!$A$1</definedName>
    <definedName name="_options2">_Options!$B$1</definedName>
    <definedName name="DOF_Fixed">Sheet2!$M$22:$M$28</definedName>
    <definedName name="DOF_High">Sheet2!$J$22:$J$28</definedName>
    <definedName name="DOF_Low">Sheet2!$I$22:$I$28</definedName>
    <definedName name="Interface_1">Sheet2!$D$32:$D$34</definedName>
    <definedName name="Interface_2">Sheet2!$B$32:$B$40</definedName>
    <definedName name="Interface_Shoulder_1">Sheet2!$E$32:$E$34</definedName>
    <definedName name="Interface_Shoulder_2">Sheet2!$C$32:$C$40</definedName>
    <definedName name="LA_Mag">Sheet2!$K$22:$K$28</definedName>
    <definedName name="LA_Shoulder">Sheet2!$C$22:$C$28</definedName>
    <definedName name="Lens_Attachments">Sheet2!$B$22:$B$28</definedName>
    <definedName name="Mount_Button">Sheet2!$D$44:$D$47</definedName>
    <definedName name="Mount_Shoulder">Sheet2!$C$44:$C$47</definedName>
    <definedName name="Mounts">Sheet2!$B$44:$B$47</definedName>
    <definedName name="NA_Fixed">Sheet2!$L$22:$L$28</definedName>
    <definedName name="NA_High">Sheet2!$F$22:$F$28</definedName>
    <definedName name="NA_Low">Sheet2!$E$22:$E$28</definedName>
    <definedName name="Pixel_Resolution">Sheet2!$D$14:$D$17</definedName>
    <definedName name="RA_Mag">Sheet2!$F$14:$F$17</definedName>
    <definedName name="RA_Res_Fixed">Sheet2!$H$14:$H$17</definedName>
    <definedName name="RA_Res_High">Sheet2!$E$14:$E$17</definedName>
    <definedName name="RA_Res_Low">Sheet2!$D$14:$D$17</definedName>
    <definedName name="RA_Shoulder">Sheet2!$C$14:$C$17</definedName>
    <definedName name="Rear_Adapters">Sheet2!$B$14:$B$17</definedName>
    <definedName name="Resolve_Limit__Low_High_µm">Sheet2!$G$22:$G$28</definedName>
    <definedName name="Resolve_Limit_Fixed">Sheet2!$N$22:$N$28</definedName>
    <definedName name="Resolve_Limit_High">Sheet2!$H$22:$H$28</definedName>
    <definedName name="Resolve_Limit_Low">Sheet2!$G$22:$G$28</definedName>
    <definedName name="Sensor_Size">Sheet2!$G$14:$G$17</definedName>
    <definedName name="WD">Sheet2!$D$22:$D$28</definedName>
    <definedName name="Zoom">Sheet2!$B$4:$B$9</definedName>
    <definedName name="Zoom_Shoulder">Sheet2!$C$4:$C$9</definedName>
  </definedNames>
  <calcPr calcId="171027"/>
  <fileRecoveryPr autoRecover="0"/>
</workbook>
</file>

<file path=xl/calcChain.xml><?xml version="1.0" encoding="utf-8"?>
<calcChain xmlns="http://schemas.openxmlformats.org/spreadsheetml/2006/main">
  <c r="E48" i="2" l="1"/>
  <c r="H10" i="4"/>
  <c r="E47" i="2"/>
  <c r="H9" i="4"/>
  <c r="E46" i="2"/>
  <c r="H8" i="4"/>
  <c r="E45" i="2"/>
  <c r="H7" i="4"/>
  <c r="E44" i="2"/>
  <c r="H6" i="4"/>
  <c r="E43" i="2"/>
  <c r="H5" i="4"/>
  <c r="H13" i="4" s="1"/>
  <c r="H12" i="4"/>
  <c r="I26" i="4"/>
  <c r="I24" i="4"/>
  <c r="I17" i="4"/>
  <c r="I20" i="4"/>
  <c r="I22" i="4"/>
  <c r="I18" i="4"/>
  <c r="I23" i="4"/>
  <c r="I27" i="4"/>
  <c r="I19" i="4"/>
  <c r="I21" i="4" s="1"/>
  <c r="I25" i="4"/>
  <c r="I28" i="4"/>
  <c r="H11" i="4" l="1"/>
  <c r="H14" i="4" s="1"/>
</calcChain>
</file>

<file path=xl/sharedStrings.xml><?xml version="1.0" encoding="utf-8"?>
<sst xmlns="http://schemas.openxmlformats.org/spreadsheetml/2006/main" count="151" uniqueCount="113">
  <si>
    <t>LA_Shoulder</t>
  </si>
  <si>
    <t>RA_Shoulder</t>
  </si>
  <si>
    <t>WD</t>
  </si>
  <si>
    <t>Cores</t>
  </si>
  <si>
    <t>Attachments</t>
  </si>
  <si>
    <t>Adapters</t>
  </si>
  <si>
    <t>Interface</t>
  </si>
  <si>
    <t>1-81303</t>
  </si>
  <si>
    <t>1-81304</t>
  </si>
  <si>
    <t>1-81306</t>
  </si>
  <si>
    <t>N/A</t>
  </si>
  <si>
    <t>A</t>
  </si>
  <si>
    <t>E</t>
  </si>
  <si>
    <t>1-80100 - ZOOM, MANUAL, RESOLV4K AFOCAL</t>
  </si>
  <si>
    <t>1-80200 - ZOOM, MTR, RESOLV4K AFOCAL - 2Φ</t>
  </si>
  <si>
    <t>1-80300 - ZOOM, MTR, RESOLV4K AFOCAL - ENC</t>
  </si>
  <si>
    <t>1-80500  -ZOOM, MTR, RESOLV4K AFOCAL - 5Φ</t>
  </si>
  <si>
    <t>1-80800 - FIXED, RESOLV4K</t>
  </si>
  <si>
    <t>1-80100D - ZM, MANUAL, RESOLV4K AFOC, DETENT</t>
  </si>
  <si>
    <t>Zoom</t>
  </si>
  <si>
    <t>Zoom_Shoulder</t>
  </si>
  <si>
    <t>1-81101 - 0.6875X, (2/3") REAR ADAPTER</t>
  </si>
  <si>
    <t>1-81102 - 1X, (1") REAR ADAPTER</t>
  </si>
  <si>
    <t>1-81103 - 1.375X, (4/3") REAR ADAPTER</t>
  </si>
  <si>
    <t>1-81104 - 2X, (32mm APS) REAR ADAPTER</t>
  </si>
  <si>
    <t>1-81201 - 0.25X LENS ATTACHMENT</t>
  </si>
  <si>
    <t>1-81202 - 0.5X LENS ATTACHMENT</t>
  </si>
  <si>
    <t>1-81203 - 0.75X LENS ATTACHMENT</t>
  </si>
  <si>
    <t>1-81204 - 1X LENS ATTACHMENT</t>
  </si>
  <si>
    <t>1-81205 - 1.25X LENS ATTACHMENT</t>
  </si>
  <si>
    <t>1-81206 - 1.5X LENS ATTACHMENT</t>
  </si>
  <si>
    <t>Lens Attachments</t>
  </si>
  <si>
    <t>Rear Adapters</t>
  </si>
  <si>
    <t>B</t>
  </si>
  <si>
    <t>C</t>
  </si>
  <si>
    <t>D</t>
  </si>
  <si>
    <t>F</t>
  </si>
  <si>
    <t>1-81300 - FIXED LOWER INTERFACE</t>
  </si>
  <si>
    <t>1-81301 - RESOLV, COAX PORT</t>
  </si>
  <si>
    <t>1-81302 - FOLD, INTERFACE</t>
  </si>
  <si>
    <t>1-81314 - RESOLV, IRIS INTERFACE</t>
  </si>
  <si>
    <t>Mounts</t>
  </si>
  <si>
    <t>Mount_Shoulder</t>
  </si>
  <si>
    <t>3-62923 - F-mount</t>
  </si>
  <si>
    <t>3-63266 - C-Mount</t>
  </si>
  <si>
    <t>1-55281 - M42x1 Mount</t>
  </si>
  <si>
    <t>Lens Attachment Length</t>
  </si>
  <si>
    <t>Interface 1 Length</t>
  </si>
  <si>
    <t>Zoom Length</t>
  </si>
  <si>
    <t>Interface 2 Length</t>
  </si>
  <si>
    <t>Rear Adapter Length</t>
  </si>
  <si>
    <t>Mount Length</t>
  </si>
  <si>
    <t>Total System Length</t>
  </si>
  <si>
    <t>mm</t>
  </si>
  <si>
    <t>Resolv Selection Wizard</t>
  </si>
  <si>
    <t>NA</t>
  </si>
  <si>
    <t>Magnification</t>
  </si>
  <si>
    <t>Pixel Resolution</t>
  </si>
  <si>
    <t>Low</t>
  </si>
  <si>
    <t>High</t>
  </si>
  <si>
    <t>RA Res Low</t>
  </si>
  <si>
    <t>RA Res High</t>
  </si>
  <si>
    <t>Sensor Size</t>
  </si>
  <si>
    <t>RA Mag</t>
  </si>
  <si>
    <t>LA Mag</t>
  </si>
  <si>
    <t>Depth of Field (mm)</t>
  </si>
  <si>
    <r>
      <t>Resolve Limit (</t>
    </r>
    <r>
      <rPr>
        <sz val="11"/>
        <color indexed="8"/>
        <rFont val="Calibri"/>
        <family val="2"/>
      </rPr>
      <t>µ</t>
    </r>
    <r>
      <rPr>
        <i/>
        <sz val="11"/>
        <color indexed="8"/>
        <rFont val="Calibri"/>
        <family val="2"/>
      </rPr>
      <t>m)</t>
    </r>
  </si>
  <si>
    <t>DOF Low</t>
  </si>
  <si>
    <t xml:space="preserve"> DOF High</t>
  </si>
  <si>
    <t>Resolve Limit High</t>
  </si>
  <si>
    <t>Resolve Limit Low</t>
  </si>
  <si>
    <t>NA Low</t>
  </si>
  <si>
    <t>NA High</t>
  </si>
  <si>
    <t>FOV (mm)</t>
  </si>
  <si>
    <t>G</t>
  </si>
  <si>
    <t>Total Length of Lens</t>
  </si>
  <si>
    <t>Image Distance</t>
  </si>
  <si>
    <t>Object Distance (WD)</t>
  </si>
  <si>
    <t>H</t>
  </si>
  <si>
    <t>I</t>
  </si>
  <si>
    <t>J</t>
  </si>
  <si>
    <t>System Size</t>
  </si>
  <si>
    <t xml:space="preserve">Low </t>
  </si>
  <si>
    <t xml:space="preserve">Pixel Resolution (µm) </t>
  </si>
  <si>
    <t>Fixed</t>
  </si>
  <si>
    <t>RA Res Fixed</t>
  </si>
  <si>
    <t>NA Fixed</t>
  </si>
  <si>
    <t>DOF Fixed</t>
  </si>
  <si>
    <t>Resolve Limit Fixed</t>
  </si>
  <si>
    <t>Interface_Shoulder 1</t>
  </si>
  <si>
    <t>Interface_Shoulder 2</t>
  </si>
  <si>
    <t>Mount</t>
  </si>
  <si>
    <t>RA</t>
  </si>
  <si>
    <t>LA</t>
  </si>
  <si>
    <t>Upper Interface</t>
  </si>
  <si>
    <t>Lower Interface</t>
  </si>
  <si>
    <t>1-81305 - RESOLV, UZ INTERFACE M26-36T</t>
  </si>
  <si>
    <t>SELECT CAMERA MOUNT</t>
  </si>
  <si>
    <r>
      <t>Resolve Limit (</t>
    </r>
    <r>
      <rPr>
        <sz val="11"/>
        <color indexed="8"/>
        <rFont val="Calibri"/>
        <family val="2"/>
      </rPr>
      <t>µm)</t>
    </r>
    <r>
      <rPr>
        <sz val="11"/>
        <color theme="1"/>
        <rFont val="Calibri"/>
        <family val="2"/>
        <scheme val="minor"/>
      </rPr>
      <t xml:space="preserve"> </t>
    </r>
  </si>
  <si>
    <t>{"BrowserAndLocation":{"ConversionPath":"C:\\Users\\BLOCK.PPD\\Documents\\SpreadsheetConverter","SelectedBrowsers":[]},"SpreadsheetServer":{"Username":"","Password":"","ServerUrl":""},"ConfigureSubmitDefault":{"Email":"","Free":false,"Advanced":false,"AdvancedSecured":false,"Demo":true},"MessageBubble":{"Close":false,"TopMsg":0},"CustomizeTheme":{"Theme":""},"QrSetting":{"ShowOnConversion":true},"CongratsPage":{"LastOpenedVersion":""},"WordPressPluginSetting":{"IsPluginInstalled":false},"Preferences":{"IsAdvancedSettingModelInitialize":true,"IsCaptchaInitialize":true,"IsNodeSettingInitialize":false,"IsRequiredFieldModalInitialize":true,"IsSubmitDialogModelInitialize":true,"IsToolbarButtonModelInitialize":true,"IsWizardButtonModelInitialize":true,"ReadFromHidden":false,"AdvancedSetting":null,"NodeSetting":{"LoginText":{"LoginButtonText":"Login","PageDescription":"Restricted access only","LoginErrorMessage":"Authentication failed, please check your username and password.","PlaceholderPassword":"password","PlaceholderUsername":"username / email","UserExtraMessage":""}},"Captcha":{"Heading":"Enter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 or invalid.","OkButton":"OK","DDLDefaultRequiredText":"Please Select"},"WizardButton":{"Next":"Next","Previous":"Previous","Cancel":"Cancel","Finish":"Finish"},"ToolbarButton":{"Submit":"Submit","Print":"Print","PrintAll":"Print All","Reset":"Reset","Update":"Update","Back":"Back"},"SubmitDialog":{"SubmitDialogHeading":"Submit Successful.","SubmitDialogDesc":"The form was successfully submitted.","BeforeSubmitDesc":"The form is being submitted.","OfflineHeading":"Save until online","OfflineDesc":"You are currently offline and the submit failed. Do you want to save the submit and send it later when you are online.","OfflineConfirm":"Do you want to save?","OfflineSubmitHeading":"Offline forms submit confirmation","OfflineSubmitDesc":"There are Offline form(s), which are now ready to submit in server.","OfflineSubmitConfirm":"Do you want to submit?","FailOfflineHeading":"Offline Form submit failed","FailOfflineDesc":"Unable to connect to the Internet. Please try submitting the offline forms later in internet connection.","OfflineSubmitWait":"It may take sometime to finish all submits depending on the size of offline forms and internet connection.","OfflineSubmitWaitCounter":"Left","OfflineSubmitError":"Submit error: Please try later."}},"UxPreferences":null}</t>
  </si>
  <si>
    <t>_Ctrl_1</t>
  </si>
  <si>
    <t>1-55281  M42x1 Mount</t>
  </si>
  <si>
    <t>{"WidgetClassification":0,"State":1,"IsRequired":false,"DDLDefaultRequiredText":"Please Select","ListItem":"1-55281  M42x1 Mount","VlookupRange":"","ShowListLabel":false,"ShowDt":true,"CellName":"_Ctrl_1","CellAddress":"='Resolv4K Selection Tool'!$Q$12","WidgetName":3,"HiddenRow":1,"SheetCodeName":null,"ControlId":"CameraMount","wcb":0}</t>
  </si>
  <si>
    <t>{"IsHide":false,"HiddenInExcel":false,"SheetId":-1,"Name":"Resolv4K Selection Tool","Guid":"MA6ZE0","Index":1,"VisibleRange":"","SheetTheme":{"TabColor":"","BodyColor":"","BodyImage":""}}</t>
  </si>
  <si>
    <t>{"IsHide":true,"HiddenInExcel":true,"SheetId":-1,"Name":"Sheet2","Guid":"QQREIQ","Index":2,"VisibleRange":"","SheetTheme":{"TabColor":"","BodyColor":"","BodyImage":""}}</t>
  </si>
  <si>
    <t>{"InputDetection":0,"RecalcMode":0,"Layout":0,"LayoutSamePagesHeightEnabled":false,"Theme":{"BgColor":"#FFFFFFFF","BgImage":"","InputBorderStyle":2,"AppliedTheme":""},"SmartphoneSettings":{"ViewportLock":true,"UseOldViewEngine":false,"EnableZoom":false,"EnableSwipe":false,"HideToolbar":false,"InheritBackgroundColor":false,"CheckboxFlavor":1,"ShowBubble":false},"Name":"","Flavor":9,"Edition":0,"CopyProtect":{"IsEnabled":false,"DomainName":""},"HideSscPoweredlogo":false,"AspnetConfig":{"BrowseUrl":"http://localhost/ssc","FileExtension":0},"NodeSecureLoginEnabled":false,"SmartphoneTheme":1,"Toolbar":{"Position":1,"IsSubmit":true,"IsPrint":true,"IsPrintAll":false,"IsReset":true,"IsUpdate":true},"ConfigureSubmit":{"IsShowCaptcha":false,"IsUseSscWebServer":true,"ReceiverCode":"","IsFreeService":false,"IsAdvanceService":false,"IsSecureEmail":false,"IsDemonstrationService":true,"AfterSuccessfulSubmit":"","AfterFailSubmit":"","AfterCancelWizard":"","IsUseOwnWebServer":false,"OwnWebServerURL":"","OwnWebServerTarget":"","SubmitTarget":0},"IgnoreBgInputCell":false,"ButtonStyle":0,"ResponsiveDesignDisabled":false,"HideLookupRange":false,"BrowserStorageEnabled":false,"RealtimeSyncEnabled":true,"GoogleAnalyticsTrackingId":"","GoogleApiKey":"","ChartSelected":3,"ChartYAxisFixed":false}</t>
  </si>
  <si>
    <t>SELECT RAER ADAPTER (Sensor Size)</t>
  </si>
  <si>
    <t>SELECT UPPER INTERFACE (Optional)</t>
  </si>
  <si>
    <t>SELECT CORE (Zoom/Fixed)</t>
  </si>
  <si>
    <t>SELECT LOWER INTERFACE (Required)</t>
  </si>
  <si>
    <t>SELECT LENS ATTACHMENT</t>
  </si>
  <si>
    <t>System Specifications</t>
  </si>
  <si>
    <t xml:space="preserve">Select options A through F within the Resolv Selection Wizard on left. System information will change accordingly in the
Size and Specifications tables.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</si>
</sst>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Wingdings 3"/>
      <family val="1"/>
      <charset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8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3" xfId="0" applyBorder="1" applyAlignment="1">
      <alignment vertical="center"/>
    </xf>
    <xf numFmtId="0" fontId="6" fillId="0" borderId="3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right"/>
    </xf>
    <xf numFmtId="0" fontId="0" fillId="0" borderId="1" xfId="0" applyFill="1" applyBorder="1"/>
    <xf numFmtId="0" fontId="0" fillId="0" borderId="2" xfId="0" applyFill="1" applyBorder="1"/>
    <xf numFmtId="0" fontId="0" fillId="0" borderId="4" xfId="0" applyFill="1" applyBorder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6" fillId="0" borderId="2" xfId="0" applyFont="1" applyBorder="1"/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6" fillId="0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right"/>
    </xf>
    <xf numFmtId="0" fontId="6" fillId="0" borderId="1" xfId="0" applyFont="1" applyBorder="1"/>
    <xf numFmtId="0" fontId="0" fillId="0" borderId="1" xfId="0" applyBorder="1" applyAlignment="1">
      <alignment horizontal="right" vertical="center"/>
    </xf>
    <xf numFmtId="0" fontId="6" fillId="0" borderId="3" xfId="0" applyFont="1" applyBorder="1"/>
    <xf numFmtId="0" fontId="0" fillId="0" borderId="3" xfId="0" applyFill="1" applyBorder="1"/>
    <xf numFmtId="0" fontId="0" fillId="0" borderId="5" xfId="0" applyFill="1" applyBorder="1" applyAlignment="1">
      <alignment horizontal="right"/>
    </xf>
    <xf numFmtId="0" fontId="0" fillId="0" borderId="5" xfId="0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/>
    <xf numFmtId="0" fontId="6" fillId="0" borderId="3" xfId="0" applyFont="1" applyBorder="1" applyAlignment="1"/>
    <xf numFmtId="0" fontId="0" fillId="0" borderId="7" xfId="0" applyFill="1" applyBorder="1"/>
    <xf numFmtId="165" fontId="0" fillId="0" borderId="7" xfId="0" applyNumberFormat="1" applyFill="1" applyBorder="1"/>
    <xf numFmtId="166" fontId="0" fillId="0" borderId="0" xfId="0" applyNumberFormat="1" applyFill="1" applyBorder="1"/>
    <xf numFmtId="0" fontId="0" fillId="0" borderId="8" xfId="0" applyBorder="1"/>
    <xf numFmtId="0" fontId="0" fillId="0" borderId="9" xfId="0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6" fillId="2" borderId="0" xfId="0" applyFont="1" applyFill="1" applyBorder="1" applyAlignment="1">
      <alignment horizontal="center" vertical="center"/>
    </xf>
    <xf numFmtId="164" fontId="0" fillId="2" borderId="1" xfId="0" applyNumberFormat="1" applyFill="1" applyBorder="1"/>
    <xf numFmtId="0" fontId="0" fillId="2" borderId="3" xfId="0" applyFill="1" applyBorder="1"/>
    <xf numFmtId="0" fontId="7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8" fillId="2" borderId="3" xfId="0" applyFont="1" applyFill="1" applyBorder="1"/>
    <xf numFmtId="0" fontId="3" fillId="2" borderId="0" xfId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9" fillId="2" borderId="1" xfId="0" applyNumberFormat="1" applyFont="1" applyFill="1" applyBorder="1"/>
    <xf numFmtId="0" fontId="9" fillId="2" borderId="3" xfId="0" applyFont="1" applyFill="1" applyBorder="1"/>
    <xf numFmtId="0" fontId="0" fillId="2" borderId="1" xfId="0" applyFill="1" applyBorder="1" applyAlignment="1">
      <alignment horizontal="right" vertical="center"/>
    </xf>
    <xf numFmtId="164" fontId="0" fillId="2" borderId="5" xfId="0" applyNumberFormat="1" applyFill="1" applyBorder="1"/>
    <xf numFmtId="0" fontId="0" fillId="2" borderId="6" xfId="0" applyFill="1" applyBorder="1"/>
    <xf numFmtId="0" fontId="0" fillId="2" borderId="12" xfId="0" applyFill="1" applyBorder="1"/>
    <xf numFmtId="0" fontId="0" fillId="2" borderId="3" xfId="0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0" fontId="8" fillId="2" borderId="6" xfId="0" applyFont="1" applyFill="1" applyBorder="1"/>
    <xf numFmtId="165" fontId="0" fillId="2" borderId="3" xfId="0" applyNumberFormat="1" applyFill="1" applyBorder="1" applyAlignment="1">
      <alignment horizontal="center" vertical="center"/>
    </xf>
    <xf numFmtId="0" fontId="4" fillId="2" borderId="0" xfId="1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0" fontId="7" fillId="2" borderId="24" xfId="0" applyFont="1" applyFill="1" applyBorder="1" applyAlignment="1"/>
    <xf numFmtId="0" fontId="5" fillId="2" borderId="24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2" fontId="0" fillId="2" borderId="24" xfId="0" applyNumberFormat="1" applyFill="1" applyBorder="1" applyAlignment="1">
      <alignment horizontal="center" vertical="center"/>
    </xf>
    <xf numFmtId="0" fontId="5" fillId="2" borderId="24" xfId="0" applyFont="1" applyFill="1" applyBorder="1" applyAlignment="1">
      <alignment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9" fillId="2" borderId="1" xfId="0" applyFont="1" applyFill="1" applyBorder="1"/>
    <xf numFmtId="0" fontId="0" fillId="2" borderId="5" xfId="0" applyFont="1" applyFill="1" applyBorder="1"/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0" fillId="0" borderId="0" xfId="0" applyNumberFormat="1"/>
    <xf numFmtId="0" fontId="11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6" borderId="0" xfId="0" applyFill="1"/>
    <xf numFmtId="0" fontId="0" fillId="0" borderId="28" xfId="0" applyBorder="1"/>
    <xf numFmtId="0" fontId="0" fillId="0" borderId="0" xfId="0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22" fmlaLink="Sheet2!$D$43" fmlaRange="Sheet2!$B$44:$B$47" noThreeD="1" sel="4" val="0"/>
</file>

<file path=xl/ctrlProps/ctrlProp2.xml><?xml version="1.0" encoding="utf-8"?>
<formControlPr xmlns="http://schemas.microsoft.com/office/spreadsheetml/2009/9/main" objectType="Drop" dropStyle="combo" dx="22" fmlaLink="Sheet2!$D$44" fmlaRange="Sheet2!$B$14:$B$17" noThreeD="1" sel="2" val="0"/>
</file>

<file path=xl/ctrlProps/ctrlProp3.xml><?xml version="1.0" encoding="utf-8"?>
<formControlPr xmlns="http://schemas.microsoft.com/office/spreadsheetml/2009/9/main" objectType="Drop" dropStyle="combo" dx="22" fmlaLink="Sheet2!$D$45" fmlaRange="Sheet2!$D$32:$D$34" noThreeD="1" sel="1" val="0"/>
</file>

<file path=xl/ctrlProps/ctrlProp4.xml><?xml version="1.0" encoding="utf-8"?>
<formControlPr xmlns="http://schemas.microsoft.com/office/spreadsheetml/2009/9/main" objectType="Drop" dropStyle="combo" dx="22" fmlaLink="Sheet2!$D$46" fmlaRange="Sheet2!$B$4:$B$9" noThreeD="1" sel="1" val="0"/>
</file>

<file path=xl/ctrlProps/ctrlProp5.xml><?xml version="1.0" encoding="utf-8"?>
<formControlPr xmlns="http://schemas.microsoft.com/office/spreadsheetml/2009/9/main" objectType="Drop" dropStyle="combo" dx="22" fmlaLink="Sheet2!$D$47" fmlaRange="Sheet2!$B$32:$B$40" noThreeD="1" sel="3" val="0"/>
</file>

<file path=xl/ctrlProps/ctrlProp6.xml><?xml version="1.0" encoding="utf-8"?>
<formControlPr xmlns="http://schemas.microsoft.com/office/spreadsheetml/2009/9/main" objectType="Drop" dropStyle="combo" dx="22" fmlaLink="Sheet2!$D$48" fmlaRange="Sheet2!$B$22:$B$28" noThreeD="1" sel="5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323850</xdr:colOff>
      <xdr:row>3</xdr:row>
      <xdr:rowOff>28575</xdr:rowOff>
    </xdr:from>
    <xdr:to>
      <xdr:col>13</xdr:col>
      <xdr:colOff>314325</xdr:colOff>
      <xdr:row>28</xdr:row>
      <xdr:rowOff>95250</xdr:rowOff>
    </xdr:to>
    <xdr:pic>
      <xdr:nvPicPr>
        <xdr:cNvPr id="1095" name="Picture 1">
          <a:extLst>
            <a:ext uri="{FF2B5EF4-FFF2-40B4-BE49-F238E27FC236}">
              <a16:creationId xmlns:a16="http://schemas.microsoft.com/office/drawing/2014/main" id="{28607353-C278-41B2-B572-CCE8D4911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228600"/>
          <a:ext cx="2009775" cy="5057775"/>
        </a:xfrm>
        <a:prstGeom prst="rect">
          <a:avLst/>
        </a:prstGeom>
        <a:noFill/>
        <a:ln w="19050">
          <a:solidFill>
            <a:srgbClr val="4F81BD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</xdr:row>
          <xdr:rowOff>0</xdr:rowOff>
        </xdr:from>
        <xdr:to>
          <xdr:col>2</xdr:col>
          <xdr:colOff>2667000</xdr:colOff>
          <xdr:row>7</xdr:row>
          <xdr:rowOff>0</xdr:rowOff>
        </xdr:to>
        <xdr:sp macro="" textlink="">
          <xdr:nvSpPr>
            <xdr:cNvPr id="1082" name="Drop Dow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8FB86E91-17E7-4777-8AD3-329107E10B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9</xdr:row>
          <xdr:rowOff>0</xdr:rowOff>
        </xdr:from>
        <xdr:to>
          <xdr:col>2</xdr:col>
          <xdr:colOff>2676525</xdr:colOff>
          <xdr:row>10</xdr:row>
          <xdr:rowOff>9525</xdr:rowOff>
        </xdr:to>
        <xdr:sp macro="" textlink="">
          <xdr:nvSpPr>
            <xdr:cNvPr id="1084" name="Drop Dow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2EE0BB1D-8593-4506-89B5-E95FA5E805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0</xdr:rowOff>
        </xdr:from>
        <xdr:to>
          <xdr:col>2</xdr:col>
          <xdr:colOff>2676525</xdr:colOff>
          <xdr:row>13</xdr:row>
          <xdr:rowOff>9525</xdr:rowOff>
        </xdr:to>
        <xdr:sp macro="" textlink="">
          <xdr:nvSpPr>
            <xdr:cNvPr id="1089" name="Drop Down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FB9C4BA3-E403-4B1C-A08F-144492DF14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15</xdr:row>
          <xdr:rowOff>0</xdr:rowOff>
        </xdr:from>
        <xdr:to>
          <xdr:col>2</xdr:col>
          <xdr:colOff>2667000</xdr:colOff>
          <xdr:row>15</xdr:row>
          <xdr:rowOff>228600</xdr:rowOff>
        </xdr:to>
        <xdr:sp macro="" textlink="">
          <xdr:nvSpPr>
            <xdr:cNvPr id="1090" name="Drop Down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4E3E8301-5850-4574-A2A1-D35680F397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</xdr:row>
          <xdr:rowOff>180975</xdr:rowOff>
        </xdr:from>
        <xdr:to>
          <xdr:col>2</xdr:col>
          <xdr:colOff>2667000</xdr:colOff>
          <xdr:row>19</xdr:row>
          <xdr:rowOff>0</xdr:rowOff>
        </xdr:to>
        <xdr:sp macro="" textlink="">
          <xdr:nvSpPr>
            <xdr:cNvPr id="1091" name="Drop Down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908EE30D-6671-4536-8D04-857B991750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21</xdr:row>
          <xdr:rowOff>0</xdr:rowOff>
        </xdr:from>
        <xdr:to>
          <xdr:col>2</xdr:col>
          <xdr:colOff>2676525</xdr:colOff>
          <xdr:row>21</xdr:row>
          <xdr:rowOff>200025</xdr:rowOff>
        </xdr:to>
        <xdr:sp macro="" textlink="">
          <xdr:nvSpPr>
            <xdr:cNvPr id="1092" name="Drop Down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B8194D4F-FACA-4930-9225-D0CB565C80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2.vml"/><Relationship Id="rId10" Type="http://schemas.openxmlformats.org/officeDocument/2006/relationships/ctrlProp" Target="../ctrlProps/ctrlProp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30"/>
  <sheetViews>
    <sheetView tabSelected="1" showWhiteSpace="0" zoomScaleNormal="100" workbookViewId="0">
      <selection activeCell="S25" sqref="S25"/>
    </sheetView>
  </sheetViews>
  <sheetFormatPr defaultRowHeight="15" x14ac:dyDescent="0.25"/>
  <cols>
    <col min="1" max="1" width="3.140625" customWidth="1"/>
    <col min="2" max="2" width="2.85546875" customWidth="1"/>
    <col min="3" max="3" width="40.28515625" customWidth="1"/>
    <col min="4" max="5" width="1.42578125" customWidth="1"/>
    <col min="6" max="6" width="3.42578125" customWidth="1"/>
    <col min="7" max="7" width="22.85546875" customWidth="1"/>
    <col min="8" max="8" width="6.5703125" customWidth="1"/>
    <col min="9" max="9" width="7.7109375" bestFit="1" customWidth="1"/>
    <col min="10" max="10" width="2.7109375" customWidth="1"/>
    <col min="11" max="11" width="9.28515625" customWidth="1"/>
    <col min="12" max="12" width="7.5703125" customWidth="1"/>
    <col min="13" max="13" width="8.5703125" bestFit="1" customWidth="1"/>
    <col min="14" max="14" width="7.7109375" customWidth="1"/>
    <col min="15" max="22" width="8.85546875" customWidth="1"/>
    <col min="25" max="25" width="9" customWidth="1"/>
  </cols>
  <sheetData>
    <row r="1" spans="1:22" ht="39.75" customHeight="1" x14ac:dyDescent="0.25">
      <c r="A1" s="117" t="s">
        <v>112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8"/>
      <c r="P1" s="116"/>
    </row>
    <row r="2" spans="1:22" ht="12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22" ht="15.75" thickBot="1" x14ac:dyDescent="0.3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</row>
    <row r="4" spans="1:22" ht="21" customHeight="1" x14ac:dyDescent="0.25">
      <c r="A4" s="71"/>
      <c r="B4" s="93" t="s">
        <v>54</v>
      </c>
      <c r="C4" s="94"/>
      <c r="D4" s="43"/>
      <c r="E4" s="44"/>
      <c r="F4" s="93" t="s">
        <v>81</v>
      </c>
      <c r="G4" s="95"/>
      <c r="H4" s="95"/>
      <c r="I4" s="94"/>
      <c r="J4" s="44"/>
      <c r="K4" s="45"/>
      <c r="L4" s="44"/>
      <c r="M4" s="44"/>
      <c r="N4" s="72"/>
      <c r="O4" s="19"/>
      <c r="P4" s="19"/>
      <c r="Q4" s="18"/>
      <c r="R4" s="19"/>
      <c r="S4" s="19"/>
      <c r="T4" s="18"/>
      <c r="U4" s="19"/>
      <c r="V4" s="19"/>
    </row>
    <row r="5" spans="1:22" x14ac:dyDescent="0.25">
      <c r="A5" s="71"/>
      <c r="B5" s="96" t="s">
        <v>97</v>
      </c>
      <c r="C5" s="97"/>
      <c r="D5" s="46"/>
      <c r="E5" s="44"/>
      <c r="F5" s="84" t="s">
        <v>11</v>
      </c>
      <c r="G5" s="86" t="s">
        <v>51</v>
      </c>
      <c r="H5" s="47">
        <f>SUMIF(Mounts,Sheet2!$E$43,Mount_Shoulder)</f>
        <v>9.5399999999999991</v>
      </c>
      <c r="I5" s="48" t="s">
        <v>53</v>
      </c>
      <c r="J5" s="44"/>
      <c r="K5" s="49"/>
      <c r="L5" s="49"/>
      <c r="M5" s="49"/>
      <c r="N5" s="73"/>
      <c r="O5" s="19"/>
      <c r="P5" s="19"/>
      <c r="Q5" s="18"/>
      <c r="R5" s="19"/>
      <c r="S5" s="19"/>
      <c r="T5" s="18"/>
      <c r="U5" s="19"/>
      <c r="V5" s="19"/>
    </row>
    <row r="6" spans="1:22" x14ac:dyDescent="0.25">
      <c r="A6" s="71"/>
      <c r="B6" s="98"/>
      <c r="C6" s="99"/>
      <c r="D6" s="46"/>
      <c r="E6" s="44"/>
      <c r="F6" s="84" t="s">
        <v>33</v>
      </c>
      <c r="G6" s="86" t="s">
        <v>50</v>
      </c>
      <c r="H6" s="47">
        <f>SUMIF(Rear_Adapters,Sheet2!$E$44,RA_Shoulder)</f>
        <v>62.5</v>
      </c>
      <c r="I6" s="48" t="s">
        <v>53</v>
      </c>
      <c r="J6" s="44"/>
      <c r="K6" s="50"/>
      <c r="L6" s="50"/>
      <c r="M6" s="50"/>
      <c r="N6" s="74"/>
      <c r="O6" s="19"/>
      <c r="P6" s="19"/>
      <c r="Q6" s="18"/>
      <c r="R6" s="19"/>
      <c r="S6" s="19"/>
      <c r="T6" s="18"/>
      <c r="U6" s="19"/>
      <c r="V6" s="19"/>
    </row>
    <row r="7" spans="1:22" ht="15.75" customHeight="1" x14ac:dyDescent="0.25">
      <c r="A7" s="71"/>
      <c r="B7" s="82" t="s">
        <v>11</v>
      </c>
      <c r="C7" s="51"/>
      <c r="D7" s="52"/>
      <c r="E7" s="44"/>
      <c r="F7" s="84" t="s">
        <v>34</v>
      </c>
      <c r="G7" s="86" t="s">
        <v>47</v>
      </c>
      <c r="H7" s="47">
        <f>SUMIF(Interface_1,Sheet2!E45,Interface_Shoulder_1)</f>
        <v>0</v>
      </c>
      <c r="I7" s="48" t="s">
        <v>53</v>
      </c>
      <c r="J7" s="44"/>
      <c r="K7" s="53"/>
      <c r="L7" s="53"/>
      <c r="M7" s="53"/>
      <c r="N7" s="75"/>
      <c r="O7" s="19"/>
      <c r="P7" s="19"/>
      <c r="Q7" s="18"/>
      <c r="R7" s="19"/>
      <c r="S7" s="19"/>
      <c r="T7" s="18"/>
      <c r="U7" s="19"/>
      <c r="V7" s="19"/>
    </row>
    <row r="8" spans="1:22" x14ac:dyDescent="0.25">
      <c r="A8" s="71"/>
      <c r="B8" s="104" t="s">
        <v>106</v>
      </c>
      <c r="C8" s="105"/>
      <c r="D8" s="46"/>
      <c r="E8" s="45"/>
      <c r="F8" s="84" t="s">
        <v>35</v>
      </c>
      <c r="G8" s="86" t="s">
        <v>48</v>
      </c>
      <c r="H8" s="47">
        <f>SUMIF(Zoom,Sheet2!E46,Zoom_Shoulder)</f>
        <v>130.30000000000001</v>
      </c>
      <c r="I8" s="48" t="s">
        <v>53</v>
      </c>
      <c r="J8" s="45"/>
      <c r="K8" s="54"/>
      <c r="L8" s="55"/>
      <c r="M8" s="55"/>
      <c r="N8" s="76"/>
    </row>
    <row r="9" spans="1:22" x14ac:dyDescent="0.25">
      <c r="A9" s="71"/>
      <c r="B9" s="106"/>
      <c r="C9" s="107"/>
      <c r="D9" s="46"/>
      <c r="E9" s="45"/>
      <c r="F9" s="84" t="s">
        <v>12</v>
      </c>
      <c r="G9" s="86" t="s">
        <v>49</v>
      </c>
      <c r="H9" s="47">
        <f>SUMIF(Interface_2,Sheet2!$E$47,Interface_Shoulder_2)</f>
        <v>46.5</v>
      </c>
      <c r="I9" s="48" t="s">
        <v>53</v>
      </c>
      <c r="J9" s="45"/>
      <c r="K9" s="56"/>
      <c r="L9" s="56"/>
      <c r="M9" s="56"/>
      <c r="N9" s="77"/>
    </row>
    <row r="10" spans="1:22" x14ac:dyDescent="0.25">
      <c r="A10" s="71"/>
      <c r="B10" s="82" t="s">
        <v>33</v>
      </c>
      <c r="C10" s="51"/>
      <c r="D10" s="52"/>
      <c r="E10" s="45"/>
      <c r="F10" s="84" t="s">
        <v>36</v>
      </c>
      <c r="G10" s="86" t="s">
        <v>46</v>
      </c>
      <c r="H10" s="47">
        <f>SUMIF(Lens_Attachments,Sheet2!$E$48,LA_Shoulder)</f>
        <v>44.28</v>
      </c>
      <c r="I10" s="48" t="s">
        <v>53</v>
      </c>
      <c r="J10" s="49"/>
      <c r="K10" s="53"/>
      <c r="L10" s="53"/>
      <c r="M10" s="53"/>
      <c r="N10" s="75"/>
    </row>
    <row r="11" spans="1:22" x14ac:dyDescent="0.25">
      <c r="A11" s="71"/>
      <c r="B11" s="104" t="s">
        <v>107</v>
      </c>
      <c r="C11" s="105"/>
      <c r="D11" s="46"/>
      <c r="E11" s="45"/>
      <c r="F11" s="84" t="s">
        <v>74</v>
      </c>
      <c r="G11" s="87" t="s">
        <v>75</v>
      </c>
      <c r="H11" s="57">
        <f>SUM(H5:H10)</f>
        <v>293.12</v>
      </c>
      <c r="I11" s="58" t="s">
        <v>53</v>
      </c>
      <c r="J11" s="45"/>
      <c r="K11" s="54"/>
      <c r="L11" s="54"/>
      <c r="M11" s="54"/>
      <c r="N11" s="78"/>
    </row>
    <row r="12" spans="1:22" x14ac:dyDescent="0.25">
      <c r="A12" s="71"/>
      <c r="B12" s="106"/>
      <c r="C12" s="107"/>
      <c r="D12" s="46"/>
      <c r="E12" s="45"/>
      <c r="F12" s="84" t="s">
        <v>78</v>
      </c>
      <c r="G12" s="86" t="s">
        <v>77</v>
      </c>
      <c r="H12" s="59">
        <f>SUMIF(Lens_Attachments,Sheet2!$E$48,WD)</f>
        <v>90</v>
      </c>
      <c r="I12" s="48" t="s">
        <v>53</v>
      </c>
      <c r="J12" s="45"/>
      <c r="K12" s="56"/>
      <c r="L12" s="56"/>
      <c r="M12" s="44"/>
      <c r="N12" s="72"/>
    </row>
    <row r="13" spans="1:22" x14ac:dyDescent="0.25">
      <c r="A13" s="71"/>
      <c r="B13" s="82" t="s">
        <v>34</v>
      </c>
      <c r="C13" s="51"/>
      <c r="D13" s="52"/>
      <c r="E13" s="45"/>
      <c r="F13" s="84" t="s">
        <v>79</v>
      </c>
      <c r="G13" s="86" t="s">
        <v>76</v>
      </c>
      <c r="H13" s="47">
        <f>55-$H$5</f>
        <v>45.46</v>
      </c>
      <c r="I13" s="48" t="s">
        <v>53</v>
      </c>
      <c r="J13" s="45"/>
      <c r="K13" s="54"/>
      <c r="L13" s="54"/>
      <c r="M13" s="54"/>
      <c r="N13" s="72"/>
    </row>
    <row r="14" spans="1:22" ht="15.75" thickBot="1" x14ac:dyDescent="0.3">
      <c r="A14" s="71"/>
      <c r="B14" s="104" t="s">
        <v>108</v>
      </c>
      <c r="C14" s="105"/>
      <c r="D14" s="46"/>
      <c r="E14" s="45"/>
      <c r="F14" s="85" t="s">
        <v>80</v>
      </c>
      <c r="G14" s="88" t="s">
        <v>52</v>
      </c>
      <c r="H14" s="60">
        <f>SUM(H11:H13)</f>
        <v>428.58</v>
      </c>
      <c r="I14" s="61" t="s">
        <v>53</v>
      </c>
      <c r="J14" s="45"/>
      <c r="K14" s="45"/>
      <c r="L14" s="45"/>
      <c r="M14" s="45"/>
      <c r="N14" s="72"/>
    </row>
    <row r="15" spans="1:22" ht="18.75" customHeight="1" thickBot="1" x14ac:dyDescent="0.3">
      <c r="A15" s="71"/>
      <c r="B15" s="106"/>
      <c r="C15" s="107"/>
      <c r="D15" s="46"/>
      <c r="E15" s="45"/>
      <c r="F15" s="62"/>
      <c r="G15" s="62"/>
      <c r="H15" s="62"/>
      <c r="I15" s="62"/>
      <c r="J15" s="45"/>
      <c r="K15" s="45"/>
      <c r="L15" s="45"/>
      <c r="M15" s="45"/>
      <c r="N15" s="72"/>
    </row>
    <row r="16" spans="1:22" ht="18.75" x14ac:dyDescent="0.25">
      <c r="A16" s="71"/>
      <c r="B16" s="82" t="s">
        <v>35</v>
      </c>
      <c r="C16" s="51"/>
      <c r="D16" s="52"/>
      <c r="E16" s="45"/>
      <c r="F16" s="93" t="s">
        <v>111</v>
      </c>
      <c r="G16" s="95"/>
      <c r="H16" s="95"/>
      <c r="I16" s="94"/>
      <c r="J16" s="45"/>
      <c r="K16" s="45"/>
      <c r="L16" s="45"/>
      <c r="M16" s="45"/>
      <c r="N16" s="72"/>
    </row>
    <row r="17" spans="1:17" x14ac:dyDescent="0.25">
      <c r="A17" s="71"/>
      <c r="B17" s="104" t="s">
        <v>109</v>
      </c>
      <c r="C17" s="105"/>
      <c r="D17" s="46"/>
      <c r="E17" s="45"/>
      <c r="F17" s="100" t="s">
        <v>83</v>
      </c>
      <c r="G17" s="101"/>
      <c r="H17" s="89" t="s">
        <v>58</v>
      </c>
      <c r="I17" s="63">
        <f>IF(Sheet2!$E$46=Sheet2!$B$9,SUMIF(Rear_Adapters,Sheet2!$E$44,RA_Res_Fixed),SUMIF(Rear_Adapters,Sheet2!$E$44,RA_Res_Low))</f>
        <v>3.26</v>
      </c>
      <c r="J17" s="45"/>
      <c r="K17" s="45"/>
      <c r="L17" s="45"/>
      <c r="M17" s="45"/>
      <c r="N17" s="72"/>
    </row>
    <row r="18" spans="1:17" x14ac:dyDescent="0.25">
      <c r="A18" s="71"/>
      <c r="B18" s="106"/>
      <c r="C18" s="107"/>
      <c r="D18" s="46"/>
      <c r="E18" s="45"/>
      <c r="F18" s="100"/>
      <c r="G18" s="101"/>
      <c r="H18" s="89" t="s">
        <v>59</v>
      </c>
      <c r="I18" s="63">
        <f>IF(Sheet2!$E$46=Sheet2!$B$9,0,SUMIF(Rear_Adapters,Sheet2!$E$44,RA_Res_High))</f>
        <v>7.95</v>
      </c>
      <c r="J18" s="45"/>
      <c r="K18" s="45"/>
      <c r="L18" s="45"/>
      <c r="M18" s="45"/>
      <c r="N18" s="72"/>
    </row>
    <row r="19" spans="1:17" x14ac:dyDescent="0.25">
      <c r="A19" s="71"/>
      <c r="B19" s="82" t="s">
        <v>12</v>
      </c>
      <c r="C19" s="51"/>
      <c r="D19" s="52"/>
      <c r="E19" s="45"/>
      <c r="F19" s="100" t="s">
        <v>56</v>
      </c>
      <c r="G19" s="101"/>
      <c r="H19" s="90" t="s">
        <v>58</v>
      </c>
      <c r="I19" s="63">
        <f>IF(Sheet2!$E$46=Sheet2!$B$9,SUMIF(Lens_Attachments,Sheet2!$E$48,LA_Mag)*SUMIF(Rear_Adapters,Sheet2!$E$44,RA_Mag)*Sheet2!$E$5,SUMIF(Lens_Attachments,Sheet2!$E$48,LA_Mag)*SUMIF(Rear_Adapters,Sheet2!$E$44,RA_Mag)*Sheet2!$E$4)</f>
        <v>0.64</v>
      </c>
      <c r="J19" s="45"/>
      <c r="K19" s="45"/>
      <c r="L19" s="45"/>
      <c r="M19" s="45"/>
      <c r="N19" s="72"/>
    </row>
    <row r="20" spans="1:17" x14ac:dyDescent="0.25">
      <c r="A20" s="71"/>
      <c r="B20" s="104" t="s">
        <v>110</v>
      </c>
      <c r="C20" s="105"/>
      <c r="D20" s="46"/>
      <c r="E20" s="45"/>
      <c r="F20" s="100"/>
      <c r="G20" s="101"/>
      <c r="H20" s="90" t="s">
        <v>59</v>
      </c>
      <c r="I20" s="63">
        <f>IF(Sheet2!$E$46=Sheet2!$B$9,0,SUMIF(Lens_Attachments,Sheet2!$E$48,LA_Mag)*SUMIF(Rear_Adapters,Sheet2!$E$44,RA_Mag)*Sheet2!$F$4)</f>
        <v>4.5</v>
      </c>
      <c r="J20" s="45"/>
      <c r="K20" s="45"/>
      <c r="L20" s="45"/>
      <c r="M20" s="45"/>
      <c r="N20" s="72"/>
      <c r="Q20" s="18"/>
    </row>
    <row r="21" spans="1:17" x14ac:dyDescent="0.25">
      <c r="A21" s="71"/>
      <c r="B21" s="106"/>
      <c r="C21" s="107"/>
      <c r="D21" s="46"/>
      <c r="E21" s="45"/>
      <c r="F21" s="100" t="s">
        <v>73</v>
      </c>
      <c r="G21" s="101"/>
      <c r="H21" s="90" t="s">
        <v>58</v>
      </c>
      <c r="I21" s="64">
        <f>SUMIF(Rear_Adapters,Sheet2!$E$44,Sensor_Size)/$I$19</f>
        <v>25</v>
      </c>
      <c r="J21" s="45"/>
      <c r="K21" s="45"/>
      <c r="L21" s="45"/>
      <c r="M21" s="45"/>
      <c r="N21" s="72"/>
      <c r="Q21" s="18"/>
    </row>
    <row r="22" spans="1:17" ht="17.25" customHeight="1" thickBot="1" x14ac:dyDescent="0.3">
      <c r="A22" s="71"/>
      <c r="B22" s="83" t="s">
        <v>36</v>
      </c>
      <c r="C22" s="65"/>
      <c r="D22" s="52"/>
      <c r="E22" s="45"/>
      <c r="F22" s="100"/>
      <c r="G22" s="101"/>
      <c r="H22" s="90" t="s">
        <v>59</v>
      </c>
      <c r="I22" s="64">
        <f>IF(Sheet2!$E$46=Sheet2!$B$9,0,SUMIF(Rear_Adapters,Sheet2!$E$44,Sensor_Size)/$I$20)</f>
        <v>3.5555555555555554</v>
      </c>
      <c r="J22" s="45"/>
      <c r="K22" s="45"/>
      <c r="L22" s="45"/>
      <c r="M22" s="45"/>
      <c r="N22" s="72"/>
    </row>
    <row r="23" spans="1:17" x14ac:dyDescent="0.25">
      <c r="A23" s="71"/>
      <c r="B23" s="45"/>
      <c r="C23" s="45"/>
      <c r="D23" s="45"/>
      <c r="E23" s="45"/>
      <c r="F23" s="100" t="s">
        <v>55</v>
      </c>
      <c r="G23" s="101"/>
      <c r="H23" s="90" t="s">
        <v>58</v>
      </c>
      <c r="I23" s="66">
        <f>IF(Sheet2!$E$46=Sheet2!$B$9,SUMIF(Lens_Attachments,Sheet2!$E$48,NA_Fixed),SUMIF(Lens_Attachments,Sheet2!$E$48,NA_Low))</f>
        <v>3.3000000000000002E-2</v>
      </c>
      <c r="J23" s="45"/>
      <c r="K23" s="45"/>
      <c r="L23" s="45"/>
      <c r="M23" s="45"/>
      <c r="N23" s="72"/>
    </row>
    <row r="24" spans="1:17" x14ac:dyDescent="0.25">
      <c r="A24" s="71"/>
      <c r="B24" s="45"/>
      <c r="C24" s="45"/>
      <c r="D24" s="45"/>
      <c r="E24" s="45"/>
      <c r="F24" s="100"/>
      <c r="G24" s="101"/>
      <c r="H24" s="90" t="s">
        <v>59</v>
      </c>
      <c r="I24" s="66">
        <f>IF(Sheet2!$E$46=Sheet2!$B$9,0,SUMIF(Lens_Attachments,Sheet2!$E$48,NA_High))</f>
        <v>9.5000000000000001E-2</v>
      </c>
      <c r="J24" s="45"/>
      <c r="K24" s="45"/>
      <c r="L24" s="45"/>
      <c r="M24" s="45"/>
      <c r="N24" s="72"/>
    </row>
    <row r="25" spans="1:17" x14ac:dyDescent="0.25">
      <c r="A25" s="71"/>
      <c r="B25" s="45"/>
      <c r="C25" s="67"/>
      <c r="D25" s="45"/>
      <c r="E25" s="45"/>
      <c r="F25" s="100" t="s">
        <v>98</v>
      </c>
      <c r="G25" s="101"/>
      <c r="H25" s="90" t="s">
        <v>82</v>
      </c>
      <c r="I25" s="63">
        <f>IF(Sheet2!$E$46=Sheet2!$B$9,SUMIF(Lens_Attachments,Sheet2!$E$48,Resolve_Limit_Fixed),SUMIF(Lens_Attachments,Sheet2!$E$48,Resolve_Limit_Low))</f>
        <v>10.210000000000001</v>
      </c>
      <c r="J25" s="45"/>
      <c r="K25" s="45"/>
      <c r="L25" s="45"/>
      <c r="M25" s="45"/>
      <c r="N25" s="72"/>
    </row>
    <row r="26" spans="1:17" x14ac:dyDescent="0.25">
      <c r="A26" s="71"/>
      <c r="B26" s="45"/>
      <c r="C26" s="45"/>
      <c r="D26" s="45"/>
      <c r="E26" s="45"/>
      <c r="F26" s="100"/>
      <c r="G26" s="101"/>
      <c r="H26" s="90" t="s">
        <v>59</v>
      </c>
      <c r="I26" s="63">
        <f>IF(Sheet2!$E$46=Sheet2!$B$9,0,SUMIF(Lens_Attachments,Sheet2!$E$48,Resolve_Limit_High))</f>
        <v>3.53</v>
      </c>
      <c r="J26" s="45"/>
      <c r="K26" s="45"/>
      <c r="L26" s="45"/>
      <c r="M26" s="45"/>
      <c r="N26" s="72"/>
    </row>
    <row r="27" spans="1:17" x14ac:dyDescent="0.25">
      <c r="A27" s="71"/>
      <c r="B27" s="45"/>
      <c r="C27" s="45"/>
      <c r="D27" s="45"/>
      <c r="E27" s="45"/>
      <c r="F27" s="100" t="s">
        <v>65</v>
      </c>
      <c r="G27" s="101"/>
      <c r="H27" s="90" t="s">
        <v>58</v>
      </c>
      <c r="I27" s="63">
        <f>IF(Sheet2!$E$46=Sheet2!$B$9,SUMIF(Lens_Attachments,Sheet2!$E$48,DOF_Fixed),SUMIF(Lens_Attachments,Sheet2!$E$48,DOF_Low))</f>
        <v>0.46</v>
      </c>
      <c r="J27" s="45"/>
      <c r="K27" s="45"/>
      <c r="L27" s="45"/>
      <c r="M27" s="45"/>
      <c r="N27" s="72"/>
    </row>
    <row r="28" spans="1:17" ht="15.75" thickBot="1" x14ac:dyDescent="0.3">
      <c r="A28" s="71"/>
      <c r="B28" s="45"/>
      <c r="C28" s="45"/>
      <c r="D28" s="45"/>
      <c r="E28" s="45"/>
      <c r="F28" s="102"/>
      <c r="G28" s="103"/>
      <c r="H28" s="91" t="s">
        <v>59</v>
      </c>
      <c r="I28" s="63">
        <f>IF(Sheet2!$E$46=Sheet2!$B$9,0,SUMIF(Lens_Attachments,Sheet2!$E$48,DOF_High))</f>
        <v>5.5E-2</v>
      </c>
      <c r="J28" s="45"/>
      <c r="K28" s="45"/>
      <c r="L28" s="45"/>
      <c r="M28" s="45"/>
      <c r="N28" s="72"/>
    </row>
    <row r="29" spans="1:17" x14ac:dyDescent="0.25">
      <c r="A29" s="71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72"/>
    </row>
    <row r="30" spans="1:17" x14ac:dyDescent="0.25">
      <c r="A30" s="79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1"/>
    </row>
  </sheetData>
  <sheetProtection selectLockedCells="1" selectUnlockedCells="1"/>
  <mergeCells count="16">
    <mergeCell ref="A1:N1"/>
    <mergeCell ref="B8:C9"/>
    <mergeCell ref="B11:C12"/>
    <mergeCell ref="B14:C15"/>
    <mergeCell ref="B17:C18"/>
    <mergeCell ref="B20:C21"/>
    <mergeCell ref="B4:C4"/>
    <mergeCell ref="F4:I4"/>
    <mergeCell ref="B5:C6"/>
    <mergeCell ref="F27:G28"/>
    <mergeCell ref="F17:G18"/>
    <mergeCell ref="F16:I16"/>
    <mergeCell ref="F19:G20"/>
    <mergeCell ref="F25:G26"/>
    <mergeCell ref="F21:G22"/>
    <mergeCell ref="F23:G24"/>
  </mergeCells>
  <dataValidations disablePrompts="1" count="1">
    <dataValidation type="list" allowBlank="1" showInputMessage="1" showErrorMessage="1" sqref="Q14">
      <formula1>_options2</formula1>
    </dataValidation>
  </dataValidations>
  <pageMargins left="0.5" right="0.25" top="0.75" bottom="0.75" header="0.3" footer="0.3"/>
  <pageSetup orientation="landscape" r:id="rId1"/>
  <headerFooter>
    <oddHeader>&amp;L&amp;G</oddHeader>
    <oddFooter>&amp;Cwww.navitar.com  |  info@navitar.com</oddFooter>
  </headerFooter>
  <customProperties>
    <customPr name="SSC_SHEET_GUID" r:id="rId2"/>
  </customProperties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2" r:id="rId6" name="Drop Down 58">
              <controlPr defaultSize="0" autoLine="0" autoPict="0">
                <anchor moveWithCells="1">
                  <from>
                    <xdr:col>2</xdr:col>
                    <xdr:colOff>9525</xdr:colOff>
                    <xdr:row>6</xdr:row>
                    <xdr:rowOff>0</xdr:rowOff>
                  </from>
                  <to>
                    <xdr:col>2</xdr:col>
                    <xdr:colOff>2667000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7" name="Drop Down 60">
              <controlPr defaultSize="0" autoLine="0" autoPict="0">
                <anchor moveWithCells="1">
                  <from>
                    <xdr:col>2</xdr:col>
                    <xdr:colOff>9525</xdr:colOff>
                    <xdr:row>9</xdr:row>
                    <xdr:rowOff>0</xdr:rowOff>
                  </from>
                  <to>
                    <xdr:col>2</xdr:col>
                    <xdr:colOff>2676525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8" name="Drop Down 65">
              <controlPr defaultSize="0" autoLine="0" autoPict="0">
                <anchor moveWithCells="1">
                  <from>
                    <xdr:col>2</xdr:col>
                    <xdr:colOff>9525</xdr:colOff>
                    <xdr:row>12</xdr:row>
                    <xdr:rowOff>0</xdr:rowOff>
                  </from>
                  <to>
                    <xdr:col>2</xdr:col>
                    <xdr:colOff>2676525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9" name="Drop Down 66">
              <controlPr defaultSize="0" autoLine="0" autoPict="0">
                <anchor moveWithCells="1">
                  <from>
                    <xdr:col>2</xdr:col>
                    <xdr:colOff>9525</xdr:colOff>
                    <xdr:row>15</xdr:row>
                    <xdr:rowOff>0</xdr:rowOff>
                  </from>
                  <to>
                    <xdr:col>2</xdr:col>
                    <xdr:colOff>2667000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0" name="Drop Down 67">
              <controlPr defaultSize="0" autoLine="0" autoPict="0">
                <anchor moveWithCells="1">
                  <from>
                    <xdr:col>2</xdr:col>
                    <xdr:colOff>9525</xdr:colOff>
                    <xdr:row>17</xdr:row>
                    <xdr:rowOff>180975</xdr:rowOff>
                  </from>
                  <to>
                    <xdr:col>2</xdr:col>
                    <xdr:colOff>2667000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1" name="Drop Down 68">
              <controlPr defaultSize="0" autoLine="0" autoPict="0">
                <anchor moveWithCells="1">
                  <from>
                    <xdr:col>2</xdr:col>
                    <xdr:colOff>9525</xdr:colOff>
                    <xdr:row>21</xdr:row>
                    <xdr:rowOff>0</xdr:rowOff>
                  </from>
                  <to>
                    <xdr:col>2</xdr:col>
                    <xdr:colOff>2676525</xdr:colOff>
                    <xdr:row>21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N48"/>
  <sheetViews>
    <sheetView workbookViewId="0">
      <selection activeCell="B1" sqref="B1"/>
    </sheetView>
  </sheetViews>
  <sheetFormatPr defaultRowHeight="15" x14ac:dyDescent="0.25"/>
  <cols>
    <col min="1" max="1" width="3.5703125" customWidth="1"/>
    <col min="2" max="2" width="45" customWidth="1"/>
    <col min="3" max="3" width="18" bestFit="1" customWidth="1"/>
    <col min="4" max="4" width="27.7109375" bestFit="1" customWidth="1"/>
    <col min="5" max="5" width="18" bestFit="1" customWidth="1"/>
    <col min="6" max="6" width="8.140625" bestFit="1" customWidth="1"/>
    <col min="7" max="7" width="15.42578125" bestFit="1" customWidth="1"/>
    <col min="8" max="8" width="16" bestFit="1" customWidth="1"/>
    <col min="9" max="9" width="8.42578125" bestFit="1" customWidth="1"/>
    <col min="10" max="10" width="11.5703125" bestFit="1" customWidth="1"/>
    <col min="14" max="14" width="15.7109375" bestFit="1" customWidth="1"/>
  </cols>
  <sheetData>
    <row r="1" spans="2:8" ht="15.75" thickBot="1" x14ac:dyDescent="0.3"/>
    <row r="2" spans="2:8" x14ac:dyDescent="0.25">
      <c r="B2" s="108" t="s">
        <v>3</v>
      </c>
      <c r="C2" s="109"/>
    </row>
    <row r="3" spans="2:8" x14ac:dyDescent="0.25">
      <c r="B3" s="4" t="s">
        <v>19</v>
      </c>
      <c r="C3" s="5" t="s">
        <v>20</v>
      </c>
      <c r="D3" s="1"/>
      <c r="H3" s="1"/>
    </row>
    <row r="4" spans="2:8" x14ac:dyDescent="0.25">
      <c r="B4" s="6" t="s">
        <v>13</v>
      </c>
      <c r="C4" s="11">
        <v>130.30000000000001</v>
      </c>
      <c r="E4" s="21">
        <v>0.64</v>
      </c>
      <c r="F4" s="18">
        <v>4.5</v>
      </c>
    </row>
    <row r="5" spans="2:8" x14ac:dyDescent="0.25">
      <c r="B5" s="16" t="s">
        <v>18</v>
      </c>
      <c r="C5" s="7">
        <v>130.30000000000001</v>
      </c>
      <c r="E5">
        <v>1.6</v>
      </c>
    </row>
    <row r="6" spans="2:8" x14ac:dyDescent="0.25">
      <c r="B6" s="6" t="s">
        <v>14</v>
      </c>
      <c r="C6" s="11">
        <v>130.30000000000001</v>
      </c>
    </row>
    <row r="7" spans="2:8" x14ac:dyDescent="0.25">
      <c r="B7" s="6" t="s">
        <v>15</v>
      </c>
      <c r="C7" s="11">
        <v>130.30000000000001</v>
      </c>
    </row>
    <row r="8" spans="2:8" x14ac:dyDescent="0.25">
      <c r="B8" s="6" t="s">
        <v>16</v>
      </c>
      <c r="C8" s="11">
        <v>130.30000000000001</v>
      </c>
    </row>
    <row r="9" spans="2:8" ht="15.75" thickBot="1" x14ac:dyDescent="0.3">
      <c r="B9" s="17" t="s">
        <v>17</v>
      </c>
      <c r="C9" s="10">
        <v>47.4</v>
      </c>
    </row>
    <row r="10" spans="2:8" ht="15.75" thickBot="1" x14ac:dyDescent="0.3"/>
    <row r="11" spans="2:8" x14ac:dyDescent="0.25">
      <c r="B11" s="108" t="s">
        <v>5</v>
      </c>
      <c r="C11" s="111"/>
      <c r="D11" s="111"/>
      <c r="E11" s="111"/>
      <c r="F11" s="109"/>
      <c r="H11" t="s">
        <v>84</v>
      </c>
    </row>
    <row r="12" spans="2:8" x14ac:dyDescent="0.25">
      <c r="B12" s="4" t="s">
        <v>32</v>
      </c>
      <c r="C12" s="2" t="s">
        <v>1</v>
      </c>
      <c r="D12" s="112" t="s">
        <v>57</v>
      </c>
      <c r="E12" s="112"/>
      <c r="F12" s="35" t="s">
        <v>63</v>
      </c>
      <c r="G12" s="34" t="s">
        <v>62</v>
      </c>
      <c r="H12" t="s">
        <v>57</v>
      </c>
    </row>
    <row r="13" spans="2:8" x14ac:dyDescent="0.25">
      <c r="B13" s="4"/>
      <c r="C13" s="2"/>
      <c r="D13" s="27" t="s">
        <v>60</v>
      </c>
      <c r="E13" s="27" t="s">
        <v>61</v>
      </c>
      <c r="F13" s="5"/>
      <c r="H13" t="s">
        <v>85</v>
      </c>
    </row>
    <row r="14" spans="2:8" x14ac:dyDescent="0.25">
      <c r="B14" s="6" t="s">
        <v>21</v>
      </c>
      <c r="C14" s="3">
        <v>40</v>
      </c>
      <c r="D14" s="28">
        <v>2.2400000000000002</v>
      </c>
      <c r="E14" s="3">
        <v>5.47</v>
      </c>
      <c r="F14" s="7">
        <v>0.6875</v>
      </c>
      <c r="G14" s="21">
        <v>11</v>
      </c>
      <c r="H14" s="21">
        <v>1.85</v>
      </c>
    </row>
    <row r="15" spans="2:8" x14ac:dyDescent="0.25">
      <c r="B15" s="6" t="s">
        <v>22</v>
      </c>
      <c r="C15" s="3">
        <v>62.5</v>
      </c>
      <c r="D15" s="28">
        <v>3.26</v>
      </c>
      <c r="E15" s="3">
        <v>7.95</v>
      </c>
      <c r="F15" s="7">
        <v>1</v>
      </c>
      <c r="G15" s="21">
        <v>16</v>
      </c>
      <c r="H15" s="21">
        <v>2.68</v>
      </c>
    </row>
    <row r="16" spans="2:8" x14ac:dyDescent="0.25">
      <c r="B16" s="6" t="s">
        <v>23</v>
      </c>
      <c r="C16" s="3">
        <v>97.5</v>
      </c>
      <c r="D16" s="28">
        <v>4.4800000000000004</v>
      </c>
      <c r="E16" s="3">
        <v>10.93</v>
      </c>
      <c r="F16" s="7">
        <v>1.375</v>
      </c>
      <c r="G16" s="21">
        <v>22</v>
      </c>
      <c r="H16" s="21">
        <v>3.69</v>
      </c>
    </row>
    <row r="17" spans="2:14" ht="15.75" thickBot="1" x14ac:dyDescent="0.3">
      <c r="B17" s="8" t="s">
        <v>24</v>
      </c>
      <c r="C17" s="9">
        <v>137.5</v>
      </c>
      <c r="D17" s="32">
        <v>6.51</v>
      </c>
      <c r="E17" s="9">
        <v>15.9</v>
      </c>
      <c r="F17" s="10">
        <v>2</v>
      </c>
      <c r="G17" s="21">
        <v>32</v>
      </c>
      <c r="H17" s="21">
        <v>5.37</v>
      </c>
    </row>
    <row r="18" spans="2:14" ht="15.75" thickBot="1" x14ac:dyDescent="0.3"/>
    <row r="19" spans="2:14" x14ac:dyDescent="0.25">
      <c r="B19" s="108" t="s">
        <v>4</v>
      </c>
      <c r="C19" s="111"/>
      <c r="D19" s="111"/>
      <c r="E19" s="111"/>
      <c r="F19" s="111"/>
      <c r="G19" s="111"/>
      <c r="H19" s="111"/>
      <c r="I19" s="111"/>
      <c r="J19" s="111"/>
      <c r="K19" s="109"/>
      <c r="L19" t="s">
        <v>84</v>
      </c>
    </row>
    <row r="20" spans="2:14" x14ac:dyDescent="0.25">
      <c r="B20" s="4" t="s">
        <v>31</v>
      </c>
      <c r="C20" s="2" t="s">
        <v>0</v>
      </c>
      <c r="D20" s="2" t="s">
        <v>2</v>
      </c>
      <c r="E20" s="110" t="s">
        <v>55</v>
      </c>
      <c r="F20" s="110"/>
      <c r="G20" s="110" t="s">
        <v>66</v>
      </c>
      <c r="H20" s="110"/>
      <c r="I20" s="110" t="s">
        <v>65</v>
      </c>
      <c r="J20" s="110"/>
      <c r="K20" s="25" t="s">
        <v>64</v>
      </c>
      <c r="L20" t="s">
        <v>86</v>
      </c>
      <c r="M20" t="s">
        <v>87</v>
      </c>
      <c r="N20" t="s">
        <v>88</v>
      </c>
    </row>
    <row r="21" spans="2:14" x14ac:dyDescent="0.25">
      <c r="B21" s="4"/>
      <c r="C21" s="2"/>
      <c r="D21" s="2"/>
      <c r="E21" s="22" t="s">
        <v>71</v>
      </c>
      <c r="F21" s="33" t="s">
        <v>72</v>
      </c>
      <c r="G21" s="22" t="s">
        <v>70</v>
      </c>
      <c r="H21" s="22" t="s">
        <v>69</v>
      </c>
      <c r="I21" s="22" t="s">
        <v>67</v>
      </c>
      <c r="J21" s="22" t="s">
        <v>68</v>
      </c>
      <c r="K21" s="25"/>
    </row>
    <row r="22" spans="2:14" x14ac:dyDescent="0.25">
      <c r="B22" s="6" t="s">
        <v>10</v>
      </c>
      <c r="C22" s="3">
        <v>0</v>
      </c>
      <c r="D22" s="3">
        <v>0</v>
      </c>
      <c r="E22" s="3">
        <v>0</v>
      </c>
      <c r="F22" s="15">
        <v>0</v>
      </c>
      <c r="G22" s="3">
        <v>0</v>
      </c>
      <c r="H22" s="15">
        <v>0</v>
      </c>
      <c r="I22" s="3">
        <v>0</v>
      </c>
      <c r="J22" s="15">
        <v>0</v>
      </c>
      <c r="K22" s="30">
        <v>0</v>
      </c>
      <c r="L22" s="36">
        <v>0</v>
      </c>
      <c r="M22" s="21">
        <v>0</v>
      </c>
      <c r="N22" s="21">
        <v>0</v>
      </c>
    </row>
    <row r="23" spans="2:14" x14ac:dyDescent="0.25">
      <c r="B23" s="6" t="s">
        <v>25</v>
      </c>
      <c r="C23" s="3">
        <v>44.02</v>
      </c>
      <c r="D23" s="3">
        <v>359.5</v>
      </c>
      <c r="E23" s="23">
        <v>8.0000000000000002E-3</v>
      </c>
      <c r="F23" s="3">
        <v>2.4E-2</v>
      </c>
      <c r="G23" s="23">
        <v>40.85</v>
      </c>
      <c r="H23" s="3">
        <v>14.13</v>
      </c>
      <c r="I23" s="24">
        <v>7.41</v>
      </c>
      <c r="J23" s="3">
        <v>8.8999999999999996E-2</v>
      </c>
      <c r="K23" s="7">
        <v>0.25</v>
      </c>
      <c r="L23" s="37">
        <v>2.5000000000000001E-2</v>
      </c>
      <c r="M23" s="38">
        <v>0.88</v>
      </c>
      <c r="N23">
        <v>13.42</v>
      </c>
    </row>
    <row r="24" spans="2:14" x14ac:dyDescent="0.25">
      <c r="B24" s="6" t="s">
        <v>26</v>
      </c>
      <c r="C24" s="3">
        <v>38.6</v>
      </c>
      <c r="D24" s="3">
        <v>173</v>
      </c>
      <c r="E24" s="23">
        <v>1.6E-2</v>
      </c>
      <c r="F24" s="3">
        <v>4.8000000000000001E-2</v>
      </c>
      <c r="G24" s="23">
        <v>20.43</v>
      </c>
      <c r="H24" s="3">
        <v>7.06</v>
      </c>
      <c r="I24" s="24">
        <v>1.85</v>
      </c>
      <c r="J24" s="3">
        <v>0.22</v>
      </c>
      <c r="K24" s="7">
        <v>0.5</v>
      </c>
      <c r="L24" s="37">
        <v>0.05</v>
      </c>
      <c r="M24" s="38">
        <v>0.22</v>
      </c>
      <c r="N24">
        <v>6.71</v>
      </c>
    </row>
    <row r="25" spans="2:14" x14ac:dyDescent="0.25">
      <c r="B25" s="6" t="s">
        <v>27</v>
      </c>
      <c r="C25" s="3">
        <v>37.86</v>
      </c>
      <c r="D25" s="3">
        <v>110</v>
      </c>
      <c r="E25" s="23">
        <v>2.5000000000000001E-2</v>
      </c>
      <c r="F25" s="3">
        <v>7.0999999999999994E-2</v>
      </c>
      <c r="G25" s="23">
        <v>13.62</v>
      </c>
      <c r="H25" s="3">
        <v>4.71</v>
      </c>
      <c r="I25" s="24">
        <v>0.82</v>
      </c>
      <c r="J25" s="3">
        <v>0.1</v>
      </c>
      <c r="K25" s="7">
        <v>0.75</v>
      </c>
      <c r="L25" s="37">
        <v>7.4999999999999997E-2</v>
      </c>
      <c r="M25" s="38">
        <v>0.97799999999999998</v>
      </c>
      <c r="N25">
        <v>4.47</v>
      </c>
    </row>
    <row r="26" spans="2:14" x14ac:dyDescent="0.25">
      <c r="B26" s="6" t="s">
        <v>28</v>
      </c>
      <c r="C26" s="3">
        <v>44.28</v>
      </c>
      <c r="D26" s="3">
        <v>90</v>
      </c>
      <c r="E26" s="23">
        <v>3.3000000000000002E-2</v>
      </c>
      <c r="F26" s="3">
        <v>9.5000000000000001E-2</v>
      </c>
      <c r="G26" s="23">
        <v>10.210000000000001</v>
      </c>
      <c r="H26" s="3">
        <v>3.53</v>
      </c>
      <c r="I26" s="24">
        <v>0.46</v>
      </c>
      <c r="J26" s="3">
        <v>5.5E-2</v>
      </c>
      <c r="K26" s="7">
        <v>1</v>
      </c>
      <c r="L26" s="37">
        <v>0.1</v>
      </c>
      <c r="M26" s="38">
        <v>5.5E-2</v>
      </c>
      <c r="N26">
        <v>3.36</v>
      </c>
    </row>
    <row r="27" spans="2:14" x14ac:dyDescent="0.25">
      <c r="B27" s="6" t="s">
        <v>29</v>
      </c>
      <c r="C27" s="3">
        <v>44.36</v>
      </c>
      <c r="D27" s="3">
        <v>72</v>
      </c>
      <c r="E27" s="23">
        <v>4.1000000000000002E-2</v>
      </c>
      <c r="F27" s="3">
        <v>0.11899999999999999</v>
      </c>
      <c r="G27" s="23">
        <v>8.17</v>
      </c>
      <c r="H27" s="3">
        <v>2.83</v>
      </c>
      <c r="I27" s="24">
        <v>0.3</v>
      </c>
      <c r="J27" s="3">
        <v>3.5000000000000003E-2</v>
      </c>
      <c r="K27" s="7">
        <v>1.25</v>
      </c>
      <c r="L27" s="37">
        <v>0.125</v>
      </c>
      <c r="M27" s="38">
        <v>3.5200000000000002E-2</v>
      </c>
      <c r="N27">
        <v>2.68</v>
      </c>
    </row>
    <row r="28" spans="2:14" ht="15.75" thickBot="1" x14ac:dyDescent="0.3">
      <c r="B28" s="8" t="s">
        <v>30</v>
      </c>
      <c r="C28" s="9">
        <v>64</v>
      </c>
      <c r="D28" s="9">
        <v>46.5</v>
      </c>
      <c r="E28" s="26">
        <v>4.9000000000000002E-2</v>
      </c>
      <c r="F28" s="9">
        <v>0.14199999999999999</v>
      </c>
      <c r="G28" s="26">
        <v>6.81</v>
      </c>
      <c r="H28" s="9">
        <v>2.35</v>
      </c>
      <c r="I28" s="31">
        <v>0.20599999999999999</v>
      </c>
      <c r="J28" s="9">
        <v>2.5000000000000001E-2</v>
      </c>
      <c r="K28" s="10">
        <v>1.5</v>
      </c>
      <c r="L28" s="37">
        <v>0.15</v>
      </c>
      <c r="M28" s="38">
        <v>2.4400000000000002E-2</v>
      </c>
      <c r="N28">
        <v>2.2400000000000002</v>
      </c>
    </row>
    <row r="29" spans="2:14" ht="15.75" thickBot="1" x14ac:dyDescent="0.3"/>
    <row r="30" spans="2:14" ht="15.75" thickBot="1" x14ac:dyDescent="0.3">
      <c r="B30" s="113" t="s">
        <v>6</v>
      </c>
      <c r="C30" s="114"/>
      <c r="D30" s="111"/>
      <c r="E30" s="109"/>
    </row>
    <row r="31" spans="2:14" x14ac:dyDescent="0.25">
      <c r="B31" s="41" t="s">
        <v>95</v>
      </c>
      <c r="C31" s="42" t="s">
        <v>90</v>
      </c>
      <c r="D31" s="39" t="s">
        <v>94</v>
      </c>
      <c r="E31" s="12" t="s">
        <v>89</v>
      </c>
    </row>
    <row r="32" spans="2:14" x14ac:dyDescent="0.25">
      <c r="B32" s="13" t="s">
        <v>10</v>
      </c>
      <c r="C32" s="14">
        <v>0</v>
      </c>
      <c r="D32" s="13" t="s">
        <v>10</v>
      </c>
      <c r="E32" s="14">
        <v>0</v>
      </c>
    </row>
    <row r="33" spans="2:7" x14ac:dyDescent="0.25">
      <c r="B33" s="6" t="s">
        <v>37</v>
      </c>
      <c r="C33" s="7">
        <v>26.5</v>
      </c>
      <c r="D33" s="39" t="s">
        <v>39</v>
      </c>
      <c r="E33" s="7">
        <v>54</v>
      </c>
    </row>
    <row r="34" spans="2:7" ht="15.75" thickBot="1" x14ac:dyDescent="0.3">
      <c r="B34" s="6" t="s">
        <v>38</v>
      </c>
      <c r="C34" s="7">
        <v>46.5</v>
      </c>
      <c r="D34" s="40" t="s">
        <v>40</v>
      </c>
      <c r="E34" s="10">
        <v>16.899999999999999</v>
      </c>
    </row>
    <row r="35" spans="2:7" x14ac:dyDescent="0.25">
      <c r="B35" s="6" t="s">
        <v>39</v>
      </c>
      <c r="C35" s="7">
        <v>54</v>
      </c>
    </row>
    <row r="36" spans="2:7" x14ac:dyDescent="0.25">
      <c r="B36" s="6" t="s">
        <v>7</v>
      </c>
      <c r="C36" s="7">
        <v>0</v>
      </c>
    </row>
    <row r="37" spans="2:7" x14ac:dyDescent="0.25">
      <c r="B37" s="6" t="s">
        <v>8</v>
      </c>
      <c r="C37" s="7">
        <v>0</v>
      </c>
    </row>
    <row r="38" spans="2:7" x14ac:dyDescent="0.25">
      <c r="B38" s="6" t="s">
        <v>96</v>
      </c>
      <c r="C38" s="7">
        <v>5.6</v>
      </c>
    </row>
    <row r="39" spans="2:7" x14ac:dyDescent="0.25">
      <c r="B39" s="6" t="s">
        <v>9</v>
      </c>
      <c r="C39" s="7">
        <v>0</v>
      </c>
    </row>
    <row r="40" spans="2:7" ht="15.75" thickBot="1" x14ac:dyDescent="0.3">
      <c r="B40" s="8" t="s">
        <v>40</v>
      </c>
      <c r="C40" s="10">
        <v>16.899999999999999</v>
      </c>
    </row>
    <row r="41" spans="2:7" ht="15.75" thickBot="1" x14ac:dyDescent="0.3"/>
    <row r="42" spans="2:7" x14ac:dyDescent="0.25">
      <c r="B42" s="108" t="s">
        <v>41</v>
      </c>
      <c r="C42" s="109"/>
    </row>
    <row r="43" spans="2:7" x14ac:dyDescent="0.25">
      <c r="B43" s="20" t="s">
        <v>41</v>
      </c>
      <c r="C43" s="29" t="s">
        <v>42</v>
      </c>
      <c r="D43">
        <v>4</v>
      </c>
      <c r="E43" t="str">
        <f>INDEX(Mounts,$D$43)</f>
        <v>1-55281 - M42x1 Mount</v>
      </c>
      <c r="G43" t="s">
        <v>91</v>
      </c>
    </row>
    <row r="44" spans="2:7" x14ac:dyDescent="0.25">
      <c r="B44" s="20" t="s">
        <v>10</v>
      </c>
      <c r="C44" s="29">
        <v>0</v>
      </c>
      <c r="D44">
        <v>2</v>
      </c>
      <c r="E44" t="str">
        <f>INDEX(Rear_Adapters,$D$44)</f>
        <v>1-81102 - 1X, (1") REAR ADAPTER</v>
      </c>
      <c r="G44" t="s">
        <v>92</v>
      </c>
    </row>
    <row r="45" spans="2:7" x14ac:dyDescent="0.25">
      <c r="B45" s="6" t="s">
        <v>43</v>
      </c>
      <c r="C45" s="7">
        <v>8.5</v>
      </c>
      <c r="D45">
        <v>1</v>
      </c>
      <c r="E45" t="str">
        <f>INDEX(Interface_1,$D$45)</f>
        <v>N/A</v>
      </c>
      <c r="G45" t="s">
        <v>94</v>
      </c>
    </row>
    <row r="46" spans="2:7" x14ac:dyDescent="0.25">
      <c r="B46" s="6" t="s">
        <v>44</v>
      </c>
      <c r="C46" s="7">
        <v>37.479999999999997</v>
      </c>
      <c r="D46">
        <v>1</v>
      </c>
      <c r="E46" t="str">
        <f>INDEX(Zoom,$D$46)</f>
        <v>1-80100 - ZOOM, MANUAL, RESOLV4K AFOCAL</v>
      </c>
      <c r="G46" t="s">
        <v>19</v>
      </c>
    </row>
    <row r="47" spans="2:7" ht="15.75" thickBot="1" x14ac:dyDescent="0.3">
      <c r="B47" s="8" t="s">
        <v>45</v>
      </c>
      <c r="C47" s="10">
        <v>9.5399999999999991</v>
      </c>
      <c r="D47">
        <v>3</v>
      </c>
      <c r="E47" t="str">
        <f>INDEX(Interface_2,$D$47)</f>
        <v>1-81301 - RESOLV, COAX PORT</v>
      </c>
      <c r="G47" t="s">
        <v>95</v>
      </c>
    </row>
    <row r="48" spans="2:7" x14ac:dyDescent="0.25">
      <c r="D48">
        <v>5</v>
      </c>
      <c r="E48" t="str">
        <f>INDEX(Lens_Attachments,$D$48)</f>
        <v>1-81204 - 1X LENS ATTACHMENT</v>
      </c>
      <c r="G48" t="s">
        <v>93</v>
      </c>
    </row>
  </sheetData>
  <mergeCells count="9">
    <mergeCell ref="B2:C2"/>
    <mergeCell ref="B42:C42"/>
    <mergeCell ref="I20:J20"/>
    <mergeCell ref="B19:K19"/>
    <mergeCell ref="D12:E12"/>
    <mergeCell ref="B11:F11"/>
    <mergeCell ref="E20:F20"/>
    <mergeCell ref="G20:H20"/>
    <mergeCell ref="B30:E30"/>
  </mergeCells>
  <pageMargins left="0.7" right="0.7" top="0.75" bottom="0.75" header="0.3" footer="0.3"/>
  <pageSetup orientation="portrait" r:id="rId1"/>
  <customProperties>
    <customPr name="SSC_SHEET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5" x14ac:dyDescent="0.25"/>
  <sheetData>
    <row r="1" spans="1:5" x14ac:dyDescent="0.25">
      <c r="A1" t="s">
        <v>100</v>
      </c>
      <c r="B1" t="s">
        <v>102</v>
      </c>
      <c r="C1" t="s">
        <v>103</v>
      </c>
      <c r="D1" t="s">
        <v>105</v>
      </c>
      <c r="E1" t="s">
        <v>99</v>
      </c>
    </row>
    <row r="2" spans="1:5" x14ac:dyDescent="0.25">
      <c r="C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5" x14ac:dyDescent="0.25"/>
  <cols>
    <col min="1" max="2" width="20.85546875" bestFit="1" customWidth="1"/>
  </cols>
  <sheetData>
    <row r="1" spans="1:2" x14ac:dyDescent="0.25">
      <c r="A1" s="92" t="s">
        <v>101</v>
      </c>
      <c r="B1" s="92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33</vt:i4>
      </vt:variant>
    </vt:vector>
  </HeadingPairs>
  <TitlesOfParts>
    <vt:vector size="35" baseType="lpstr">
      <vt:lpstr>Resolv4K Selection Tool</vt:lpstr>
      <vt:lpstr>Sheet2</vt:lpstr>
      <vt:lpstr>_options1</vt:lpstr>
      <vt:lpstr>_options2</vt:lpstr>
      <vt:lpstr>DOF_Fixed</vt:lpstr>
      <vt:lpstr>DOF_High</vt:lpstr>
      <vt:lpstr>DOF_Low</vt:lpstr>
      <vt:lpstr>Interface_1</vt:lpstr>
      <vt:lpstr>Interface_2</vt:lpstr>
      <vt:lpstr>Interface_Shoulder_1</vt:lpstr>
      <vt:lpstr>Interface_Shoulder_2</vt:lpstr>
      <vt:lpstr>LA_Mag</vt:lpstr>
      <vt:lpstr>LA_Shoulder</vt:lpstr>
      <vt:lpstr>Lens_Attachments</vt:lpstr>
      <vt:lpstr>Mount_Button</vt:lpstr>
      <vt:lpstr>Mount_Shoulder</vt:lpstr>
      <vt:lpstr>Mounts</vt:lpstr>
      <vt:lpstr>NA_Fixed</vt:lpstr>
      <vt:lpstr>NA_High</vt:lpstr>
      <vt:lpstr>NA_Low</vt:lpstr>
      <vt:lpstr>Pixel_Resolution</vt:lpstr>
      <vt:lpstr>RA_Mag</vt:lpstr>
      <vt:lpstr>RA_Res_Fixed</vt:lpstr>
      <vt:lpstr>RA_Res_High</vt:lpstr>
      <vt:lpstr>RA_Res_Low</vt:lpstr>
      <vt:lpstr>RA_Shoulder</vt:lpstr>
      <vt:lpstr>Rear_Adapters</vt:lpstr>
      <vt:lpstr>Resolve_Limit__Low_High_µm</vt:lpstr>
      <vt:lpstr>Resolve_Limit_Fixed</vt:lpstr>
      <vt:lpstr>Resolve_Limit_High</vt:lpstr>
      <vt:lpstr>Resolve_Limit_Low</vt:lpstr>
      <vt:lpstr>Sensor_Size</vt:lpstr>
      <vt:lpstr>WD</vt:lpstr>
      <vt:lpstr>Zoom</vt:lpstr>
      <vt:lpstr>Zoom_Shoulder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Williamson</dc:creator>
  <cp:lastModifiedBy>Amy Block</cp:lastModifiedBy>
  <cp:lastPrinted>2018-01-08T16:09:36Z</cp:lastPrinted>
  <dcterms:created xsi:type="dcterms:W3CDTF">2017-10-11T19:56:41Z</dcterms:created>
  <dcterms:modified xsi:type="dcterms:W3CDTF">2018-01-08T16:13:25Z</dcterms:modified>
</cp:coreProperties>
</file>